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Titles" localSheetId="0">'Foaie1'!$6:$6</definedName>
    <definedName name="_xlnm.Print_Area" localSheetId="0">'Foaie1'!$A$1:$P$49</definedName>
  </definedNames>
  <calcPr fullCalcOnLoad="1"/>
</workbook>
</file>

<file path=xl/sharedStrings.xml><?xml version="1.0" encoding="utf-8"?>
<sst xmlns="http://schemas.openxmlformats.org/spreadsheetml/2006/main" count="59" uniqueCount="58">
  <si>
    <t>NUME FURNIZOR</t>
  </si>
  <si>
    <t>CABINET PHYSIODINAMIC FIZIOTERAPIE SI RECUPERARE MEDICALA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</si>
  <si>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</si>
  <si>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</si>
  <si>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</si>
  <si>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</si>
  <si>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</si>
  <si>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</si>
  <si>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</si>
  <si>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</si>
  <si>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</si>
  <si>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</si>
  <si>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</si>
  <si>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</si>
  <si>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</si>
  <si>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</si>
  <si>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</si>
  <si>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</si>
  <si>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</si>
  <si>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</si>
  <si>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</si>
  <si>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</si>
  <si>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</si>
  <si>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</si>
  <si>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</si>
  <si>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</si>
  <si>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</si>
  <si>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VALOARE APARATE 50% </t>
  </si>
  <si>
    <t xml:space="preserve">VALOARE PERSONAL 50% </t>
  </si>
  <si>
    <t xml:space="preserve"> SPITALUL CLINIC MUNICIPAL DE URGENTA TIMISOARA</t>
  </si>
  <si>
    <t xml:space="preserve">TOTAL VAL APARATE 50% RECUP </t>
  </si>
  <si>
    <t>SC POLICLINICA SANITAS</t>
  </si>
  <si>
    <t>PUNCTE APARATE (B/A*A1)</t>
  </si>
  <si>
    <t>TOTAL PROCEDURI /PERS MEDIU SANITAR/ORA (b)</t>
  </si>
  <si>
    <t>SC FIZIOTERA CONCEPT SRL (SC CABINET MEDICAL DE FIZIOTERAPIE DR BURCHICI ADINA SRL)</t>
  </si>
  <si>
    <t>SC FIZIO KINETIC TM SRL</t>
  </si>
  <si>
    <t>SC ADHD  FIZIO SRL</t>
  </si>
  <si>
    <t>AC ARVA FIZIO SRL</t>
  </si>
  <si>
    <t>SC CENTRUL MEDICAL ORTHOPEDICS SRL</t>
  </si>
  <si>
    <t xml:space="preserve">TOTAL VAL PERSONAL 50% RECUP </t>
  </si>
  <si>
    <t>TOTAL PROCEDURI/APARATE/ORA (a)</t>
  </si>
  <si>
    <t>SC AVS BALNEO THETAPY SRL</t>
  </si>
  <si>
    <t>REPARTIZATA CONFORM PUNCTAJELOR PENTRU FURNIZORII DE SERVICII MEDICALE DE MEDICINA FIZICA SI DE REABILITARE</t>
  </si>
  <si>
    <t>ACUPUNCTURA PROCENT DIN RECUPERARE</t>
  </si>
  <si>
    <t>10,3%</t>
  </si>
  <si>
    <t>SITUATIA  SUMELOR AFERENTE LUNII MARTIE 2022</t>
  </si>
  <si>
    <t>TOTAL BUGET ALOCAT RECUPERARE SI ACUPUNCTURA IANUARIE-MARTIE 2022</t>
  </si>
  <si>
    <t xml:space="preserve">TOTAL VALOARE CONTRACT IAN-FEB 2022 </t>
  </si>
  <si>
    <t xml:space="preserve">TOTAL VALOARE DISPONIBILA MART 2022 </t>
  </si>
  <si>
    <t>TOTAL VAL  ACUPUNCTURA IAN-FEB 2022 -PROCENT 10,3% DIN TOTAL BUGET RECUPERARE IAN-MAR 2022</t>
  </si>
  <si>
    <t>VALOARE CONTRACT ACUPUNCTURA  IAN-FEB 2022</t>
  </si>
  <si>
    <t>VALOARE ACUPUNCTURA MARTIE 2022</t>
  </si>
  <si>
    <t>VALOARE CONTRACT RECUPERARE  IAN-FEB 2022</t>
  </si>
  <si>
    <t>VALOARE RECUPERARE MARTIE 2022</t>
  </si>
  <si>
    <t>VAL PCT APARAT MAR  2022</t>
  </si>
  <si>
    <t>VAL PCT PERSONAL MAR 2022</t>
  </si>
  <si>
    <t>TOTAL VALOARE CONTRACT PENTRU LUNA MARTIE 2022</t>
  </si>
  <si>
    <t xml:space="preserve">TOTAL VALOARE RECUPERARE FARA ACUPUNCTURA IANUARIE-MARTIE 2022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</si>
</sst>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 quotePrefix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9.7109375" style="19" customWidth="1"/>
    <col min="2" max="2" width="50.28125" style="19" customWidth="1"/>
    <col min="3" max="3" width="13.421875" style="19" customWidth="1"/>
    <col min="4" max="4" width="12.00390625" style="19" customWidth="1"/>
    <col min="5" max="5" width="10.421875" style="19" customWidth="1"/>
    <col min="6" max="6" width="8.57421875" style="19" customWidth="1"/>
    <col min="7" max="7" width="11.00390625" style="19" customWidth="1"/>
    <col min="8" max="8" width="10.7109375" style="19" customWidth="1"/>
    <col min="9" max="9" width="11.421875" style="19" customWidth="1"/>
    <col min="10" max="10" width="11.28125" style="19" customWidth="1"/>
    <col min="11" max="11" width="11.140625" style="19" customWidth="1"/>
    <col min="12" max="12" width="10.421875" style="19" customWidth="1"/>
    <col min="13" max="13" width="15.7109375" style="19" customWidth="1"/>
    <col min="14" max="14" width="16.28125" style="19" customWidth="1"/>
    <col min="15" max="15" width="16.421875" style="19" hidden="1" customWidth="1"/>
    <col min="16" max="16" width="16.57421875" style="19" customWidth="1"/>
    <col min="17" max="16384" width="9.140625" style="19" customWidth="1"/>
  </cols>
  <sheetData>
    <row r="1" spans="3:15" s="6" customFormat="1" ht="12.75">
      <c r="C1" s="16"/>
      <c r="D1" s="16"/>
      <c r="E1" s="16"/>
      <c r="G1" s="16"/>
      <c r="H1" s="16"/>
      <c r="I1" s="16"/>
      <c r="J1" s="16"/>
      <c r="K1" s="16"/>
      <c r="L1" s="16"/>
      <c r="M1" s="16"/>
      <c r="N1" s="16"/>
      <c r="O1" s="16"/>
    </row>
    <row r="2" spans="1:12" ht="18">
      <c r="A2" s="16"/>
      <c r="B2" s="6"/>
      <c r="C2" s="30"/>
      <c r="D2" s="6"/>
      <c r="E2" s="6"/>
      <c r="F2" s="17"/>
      <c r="H2" s="39"/>
      <c r="L2" s="39"/>
    </row>
    <row r="3" spans="1:14" s="6" customFormat="1" ht="18">
      <c r="A3" s="19"/>
      <c r="B3" s="19"/>
      <c r="C3" s="22" t="s">
        <v>45</v>
      </c>
      <c r="D3" s="31"/>
      <c r="E3" s="31"/>
      <c r="F3" s="30"/>
      <c r="G3" s="30"/>
      <c r="H3" s="31"/>
      <c r="I3" s="30"/>
      <c r="J3" s="30"/>
      <c r="K3" s="30"/>
      <c r="L3" s="30"/>
      <c r="M3" s="30"/>
      <c r="N3" s="30"/>
    </row>
    <row r="4" spans="2:14" s="6" customFormat="1" ht="18">
      <c r="B4" s="17" t="s">
        <v>42</v>
      </c>
      <c r="C4" s="39"/>
      <c r="D4" s="39"/>
      <c r="E4" s="39"/>
      <c r="F4" s="39"/>
      <c r="G4" s="39"/>
      <c r="H4" s="31"/>
      <c r="I4" s="30"/>
      <c r="J4" s="30"/>
      <c r="K4" s="30"/>
      <c r="L4" s="30"/>
      <c r="M4" s="30"/>
      <c r="N4" s="30"/>
    </row>
    <row r="5" spans="1:15" s="6" customFormat="1" ht="18">
      <c r="A5" s="16"/>
      <c r="B5" s="29"/>
      <c r="C5" s="17"/>
      <c r="D5" s="19"/>
      <c r="E5" s="19"/>
      <c r="F5" s="19"/>
      <c r="G5" s="19"/>
      <c r="H5" s="16"/>
      <c r="I5" s="16"/>
      <c r="O5" s="25"/>
    </row>
    <row r="6" spans="1:16" s="6" customFormat="1" ht="87.75" customHeight="1">
      <c r="A6" s="21" t="s">
        <v>5</v>
      </c>
      <c r="B6" s="2" t="s">
        <v>0</v>
      </c>
      <c r="C6" s="2" t="s">
        <v>7</v>
      </c>
      <c r="D6" s="2" t="s">
        <v>40</v>
      </c>
      <c r="E6" s="2" t="s">
        <v>33</v>
      </c>
      <c r="F6" s="2" t="s">
        <v>10</v>
      </c>
      <c r="G6" s="2" t="s">
        <v>32</v>
      </c>
      <c r="H6" s="2" t="s">
        <v>8</v>
      </c>
      <c r="I6" s="2" t="s">
        <v>11</v>
      </c>
      <c r="J6" s="2" t="s">
        <v>13</v>
      </c>
      <c r="K6" s="2" t="s">
        <v>17</v>
      </c>
      <c r="L6" s="2" t="s">
        <v>9</v>
      </c>
      <c r="M6" s="2" t="s">
        <v>27</v>
      </c>
      <c r="N6" s="2" t="s">
        <v>28</v>
      </c>
      <c r="O6" s="2" t="s">
        <v>56</v>
      </c>
      <c r="P6" s="2" t="s">
        <v>56</v>
      </c>
    </row>
    <row r="7" spans="1:16" ht="53.25" customHeight="1">
      <c r="A7" s="2"/>
      <c r="B7" s="40" t="s">
        <v>34</v>
      </c>
      <c r="C7" s="1">
        <v>0</v>
      </c>
      <c r="D7" s="1">
        <v>0</v>
      </c>
      <c r="E7" s="1">
        <v>0</v>
      </c>
      <c r="F7" s="18">
        <v>0</v>
      </c>
      <c r="G7" s="18">
        <v>0</v>
      </c>
      <c r="H7" s="1">
        <v>0</v>
      </c>
      <c r="I7" s="1">
        <v>0</v>
      </c>
      <c r="J7" s="18">
        <f>G7+H7</f>
        <v>0</v>
      </c>
      <c r="K7" s="1">
        <v>0</v>
      </c>
      <c r="L7" s="18">
        <v>0</v>
      </c>
      <c r="M7" s="18">
        <f>J7*$D$47</f>
        <v>0</v>
      </c>
      <c r="N7" s="18">
        <f>K7*$D$49</f>
        <v>0</v>
      </c>
      <c r="O7" s="18">
        <f>M7+N7</f>
        <v>0</v>
      </c>
      <c r="P7" s="18">
        <f>ROUND(O7,2)</f>
        <v>0</v>
      </c>
    </row>
    <row r="8" spans="1:16" ht="33" customHeight="1">
      <c r="A8" s="2">
        <v>1</v>
      </c>
      <c r="B8" s="1" t="s">
        <v>12</v>
      </c>
      <c r="C8" s="1">
        <v>250</v>
      </c>
      <c r="D8" s="1">
        <v>104</v>
      </c>
      <c r="E8" s="1">
        <v>110</v>
      </c>
      <c r="F8" s="18">
        <f aca="true" t="shared" si="0" ref="F8:F18">E8/D8</f>
        <v>1.0576923076923077</v>
      </c>
      <c r="G8" s="18">
        <f>C8</f>
        <v>250</v>
      </c>
      <c r="H8" s="1">
        <v>60</v>
      </c>
      <c r="I8" s="1">
        <v>0</v>
      </c>
      <c r="J8" s="18">
        <f aca="true" t="shared" si="1" ref="J8:J13">G8+H8+I8</f>
        <v>310</v>
      </c>
      <c r="K8" s="1">
        <f>185+2</f>
        <v>187</v>
      </c>
      <c r="L8" s="18">
        <f aca="true" t="shared" si="2" ref="L8:L31">J8+K8</f>
        <v>497</v>
      </c>
      <c r="M8" s="18">
        <f aca="true" t="shared" si="3" ref="M8:M31">J8*$D$47</f>
        <v>9770.93591618178</v>
      </c>
      <c r="N8" s="18">
        <f aca="true" t="shared" si="4" ref="N8:N31">K8*$D$49</f>
        <v>10882.470650897863</v>
      </c>
      <c r="O8" s="18">
        <f aca="true" t="shared" si="5" ref="O8:O31">M8+N8</f>
        <v>20653.40656707964</v>
      </c>
      <c r="P8" s="18">
        <f aca="true" t="shared" si="6" ref="P8:P30">ROUND(O8,2)</f>
        <v>20653.41</v>
      </c>
    </row>
    <row r="9" spans="1:16" ht="33" customHeight="1">
      <c r="A9" s="2">
        <v>2</v>
      </c>
      <c r="B9" s="1" t="s">
        <v>14</v>
      </c>
      <c r="C9" s="1">
        <v>131</v>
      </c>
      <c r="D9" s="1">
        <v>39</v>
      </c>
      <c r="E9" s="1">
        <v>40</v>
      </c>
      <c r="F9" s="18">
        <f t="shared" si="0"/>
        <v>1.0256410256410255</v>
      </c>
      <c r="G9" s="18">
        <f>C9</f>
        <v>131</v>
      </c>
      <c r="H9" s="1">
        <v>40</v>
      </c>
      <c r="I9" s="1">
        <v>0</v>
      </c>
      <c r="J9" s="18">
        <f t="shared" si="1"/>
        <v>171</v>
      </c>
      <c r="K9" s="1">
        <f>63+2</f>
        <v>65</v>
      </c>
      <c r="L9" s="18">
        <f t="shared" si="2"/>
        <v>236</v>
      </c>
      <c r="M9" s="18">
        <f t="shared" si="3"/>
        <v>5389.7743279583365</v>
      </c>
      <c r="N9" s="18">
        <f t="shared" si="4"/>
        <v>3782.676964215835</v>
      </c>
      <c r="O9" s="18">
        <f t="shared" si="5"/>
        <v>9172.451292174172</v>
      </c>
      <c r="P9" s="18">
        <f t="shared" si="6"/>
        <v>9172.45</v>
      </c>
    </row>
    <row r="10" spans="1:16" ht="47.25" customHeight="1">
      <c r="A10" s="2">
        <v>3</v>
      </c>
      <c r="B10" s="1" t="s">
        <v>1</v>
      </c>
      <c r="C10" s="1">
        <v>165</v>
      </c>
      <c r="D10" s="1">
        <v>59</v>
      </c>
      <c r="E10" s="1">
        <v>64</v>
      </c>
      <c r="F10" s="18">
        <f t="shared" si="0"/>
        <v>1.0847457627118644</v>
      </c>
      <c r="G10" s="18">
        <f>C10</f>
        <v>165</v>
      </c>
      <c r="H10" s="1">
        <v>60</v>
      </c>
      <c r="I10" s="1">
        <v>16</v>
      </c>
      <c r="J10" s="18">
        <f t="shared" si="1"/>
        <v>241</v>
      </c>
      <c r="K10" s="1">
        <f>110+2</f>
        <v>112</v>
      </c>
      <c r="L10" s="18">
        <f t="shared" si="2"/>
        <v>353</v>
      </c>
      <c r="M10" s="18">
        <f t="shared" si="3"/>
        <v>7596.114696128416</v>
      </c>
      <c r="N10" s="18">
        <f t="shared" si="4"/>
        <v>6517.843384494978</v>
      </c>
      <c r="O10" s="18">
        <f t="shared" si="5"/>
        <v>14113.958080623393</v>
      </c>
      <c r="P10" s="18">
        <f t="shared" si="6"/>
        <v>14113.96</v>
      </c>
    </row>
    <row r="11" spans="1:16" ht="38.25" customHeight="1">
      <c r="A11" s="2">
        <v>4</v>
      </c>
      <c r="B11" s="1" t="s">
        <v>15</v>
      </c>
      <c r="C11" s="1">
        <v>50</v>
      </c>
      <c r="D11" s="1">
        <v>21</v>
      </c>
      <c r="E11" s="1">
        <v>20</v>
      </c>
      <c r="F11" s="18">
        <f t="shared" si="0"/>
        <v>0.9523809523809523</v>
      </c>
      <c r="G11" s="18">
        <f>F11*C11</f>
        <v>47.61904761904761</v>
      </c>
      <c r="H11" s="1">
        <v>60</v>
      </c>
      <c r="I11" s="1">
        <v>0</v>
      </c>
      <c r="J11" s="18">
        <f t="shared" si="1"/>
        <v>107.61904761904762</v>
      </c>
      <c r="K11" s="1">
        <f>45+2</f>
        <v>47</v>
      </c>
      <c r="L11" s="18">
        <f t="shared" si="2"/>
        <v>154.61904761904762</v>
      </c>
      <c r="M11" s="18">
        <f t="shared" si="3"/>
        <v>3392.0607020846114</v>
      </c>
      <c r="N11" s="18">
        <f t="shared" si="4"/>
        <v>2735.166420279142</v>
      </c>
      <c r="O11" s="18">
        <f t="shared" si="5"/>
        <v>6127.227122363754</v>
      </c>
      <c r="P11" s="18">
        <f t="shared" si="6"/>
        <v>6127.23</v>
      </c>
    </row>
    <row r="12" spans="1:16" ht="37.5" customHeight="1">
      <c r="A12" s="2">
        <v>5</v>
      </c>
      <c r="B12" s="1" t="s">
        <v>25</v>
      </c>
      <c r="C12" s="1">
        <v>175</v>
      </c>
      <c r="D12" s="1">
        <v>58</v>
      </c>
      <c r="E12" s="1">
        <v>60</v>
      </c>
      <c r="F12" s="18">
        <f t="shared" si="0"/>
        <v>1.0344827586206897</v>
      </c>
      <c r="G12" s="18">
        <f>C12</f>
        <v>175</v>
      </c>
      <c r="H12" s="1">
        <v>60</v>
      </c>
      <c r="I12" s="1">
        <v>0</v>
      </c>
      <c r="J12" s="18">
        <f>G12+H12+I12</f>
        <v>235</v>
      </c>
      <c r="K12" s="1">
        <f>131+3.75-18-1.75</f>
        <v>115</v>
      </c>
      <c r="L12" s="18">
        <f>J12+K12</f>
        <v>350</v>
      </c>
      <c r="M12" s="18">
        <f t="shared" si="3"/>
        <v>7406.999807428123</v>
      </c>
      <c r="N12" s="18">
        <f t="shared" si="4"/>
        <v>6692.428475151093</v>
      </c>
      <c r="O12" s="18">
        <f t="shared" si="5"/>
        <v>14099.428282579216</v>
      </c>
      <c r="P12" s="18">
        <f t="shared" si="6"/>
        <v>14099.43</v>
      </c>
    </row>
    <row r="13" spans="1:16" ht="42" customHeight="1">
      <c r="A13" s="2">
        <v>6</v>
      </c>
      <c r="B13" s="1" t="s">
        <v>19</v>
      </c>
      <c r="C13" s="1">
        <v>160</v>
      </c>
      <c r="D13" s="1">
        <v>65</v>
      </c>
      <c r="E13" s="1">
        <v>65</v>
      </c>
      <c r="F13" s="18">
        <f t="shared" si="0"/>
        <v>1</v>
      </c>
      <c r="G13" s="18">
        <f>F13*C13</f>
        <v>160</v>
      </c>
      <c r="H13" s="1">
        <v>60</v>
      </c>
      <c r="I13" s="1">
        <v>0</v>
      </c>
      <c r="J13" s="18">
        <f t="shared" si="1"/>
        <v>220</v>
      </c>
      <c r="K13" s="1">
        <f>120.5+3.75</f>
        <v>124.25</v>
      </c>
      <c r="L13" s="18">
        <f>J13+K13</f>
        <v>344.25</v>
      </c>
      <c r="M13" s="18">
        <f t="shared" si="3"/>
        <v>6934.212585677392</v>
      </c>
      <c r="N13" s="18">
        <f t="shared" si="4"/>
        <v>7230.732504674115</v>
      </c>
      <c r="O13" s="18">
        <f t="shared" si="5"/>
        <v>14164.945090351506</v>
      </c>
      <c r="P13" s="18">
        <f t="shared" si="6"/>
        <v>14164.95</v>
      </c>
    </row>
    <row r="14" spans="1:16" ht="39.75" customHeight="1">
      <c r="A14" s="2">
        <v>7</v>
      </c>
      <c r="B14" s="1" t="s">
        <v>4</v>
      </c>
      <c r="C14" s="1">
        <v>99</v>
      </c>
      <c r="D14" s="1">
        <v>39</v>
      </c>
      <c r="E14" s="1">
        <v>40</v>
      </c>
      <c r="F14" s="18">
        <f t="shared" si="0"/>
        <v>1.0256410256410255</v>
      </c>
      <c r="G14" s="18">
        <f>C14</f>
        <v>99</v>
      </c>
      <c r="H14" s="1">
        <v>40</v>
      </c>
      <c r="I14" s="1">
        <v>0</v>
      </c>
      <c r="J14" s="18">
        <f aca="true" t="shared" si="7" ref="J14:J25">G14+H14+I14</f>
        <v>139</v>
      </c>
      <c r="K14" s="1">
        <f>93+4.38</f>
        <v>97.38</v>
      </c>
      <c r="L14" s="18">
        <f t="shared" si="2"/>
        <v>236.38</v>
      </c>
      <c r="M14" s="18">
        <f t="shared" si="3"/>
        <v>4381.161588223443</v>
      </c>
      <c r="N14" s="18">
        <f t="shared" si="4"/>
        <v>5667.032042697508</v>
      </c>
      <c r="O14" s="18">
        <f t="shared" si="5"/>
        <v>10048.19363092095</v>
      </c>
      <c r="P14" s="18">
        <f t="shared" si="6"/>
        <v>10048.19</v>
      </c>
    </row>
    <row r="15" spans="1:16" ht="39.75" customHeight="1">
      <c r="A15" s="2"/>
      <c r="B15" s="1" t="s">
        <v>41</v>
      </c>
      <c r="C15" s="1">
        <f>89-89</f>
        <v>0</v>
      </c>
      <c r="D15" s="1">
        <f>38-38</f>
        <v>0</v>
      </c>
      <c r="E15" s="1">
        <f>35-35</f>
        <v>0</v>
      </c>
      <c r="F15" s="18">
        <v>0</v>
      </c>
      <c r="G15" s="18">
        <f>F15*C15</f>
        <v>0</v>
      </c>
      <c r="H15" s="1">
        <f>40-40</f>
        <v>0</v>
      </c>
      <c r="I15" s="1">
        <v>0</v>
      </c>
      <c r="J15" s="18">
        <f t="shared" si="7"/>
        <v>0</v>
      </c>
      <c r="K15" s="1">
        <f>60.5+2-62.5</f>
        <v>0</v>
      </c>
      <c r="L15" s="18">
        <f t="shared" si="2"/>
        <v>0</v>
      </c>
      <c r="M15" s="18">
        <f t="shared" si="3"/>
        <v>0</v>
      </c>
      <c r="N15" s="18">
        <f t="shared" si="4"/>
        <v>0</v>
      </c>
      <c r="O15" s="18">
        <f t="shared" si="5"/>
        <v>0</v>
      </c>
      <c r="P15" s="18">
        <f t="shared" si="6"/>
        <v>0</v>
      </c>
    </row>
    <row r="16" spans="1:16" ht="39" customHeight="1">
      <c r="A16" s="2">
        <v>8</v>
      </c>
      <c r="B16" s="1" t="s">
        <v>16</v>
      </c>
      <c r="C16" s="1">
        <v>112</v>
      </c>
      <c r="D16" s="1">
        <v>50</v>
      </c>
      <c r="E16" s="1">
        <f>30-10+5-5+5</f>
        <v>25</v>
      </c>
      <c r="F16" s="18">
        <f t="shared" si="0"/>
        <v>0.5</v>
      </c>
      <c r="G16" s="18">
        <f>C16*F16</f>
        <v>56</v>
      </c>
      <c r="H16" s="1">
        <v>40</v>
      </c>
      <c r="I16" s="1">
        <v>0</v>
      </c>
      <c r="J16" s="18">
        <f t="shared" si="7"/>
        <v>96</v>
      </c>
      <c r="K16" s="1">
        <f>69.5+2-15+5-9-7.5+7.5</f>
        <v>52.5</v>
      </c>
      <c r="L16" s="18">
        <f t="shared" si="2"/>
        <v>148.5</v>
      </c>
      <c r="M16" s="18">
        <f t="shared" si="3"/>
        <v>3025.83821920468</v>
      </c>
      <c r="N16" s="18">
        <f t="shared" si="4"/>
        <v>3055.239086482021</v>
      </c>
      <c r="O16" s="18">
        <f t="shared" si="5"/>
        <v>6081.077305686701</v>
      </c>
      <c r="P16" s="18">
        <f t="shared" si="6"/>
        <v>6081.08</v>
      </c>
    </row>
    <row r="17" spans="1:16" ht="32.25" customHeight="1">
      <c r="A17" s="2">
        <v>9</v>
      </c>
      <c r="B17" s="1" t="s">
        <v>23</v>
      </c>
      <c r="C17" s="1">
        <v>50</v>
      </c>
      <c r="D17" s="1">
        <v>20</v>
      </c>
      <c r="E17" s="1">
        <v>25</v>
      </c>
      <c r="F17" s="18">
        <f t="shared" si="0"/>
        <v>1.25</v>
      </c>
      <c r="G17" s="18">
        <f>C17</f>
        <v>50</v>
      </c>
      <c r="H17" s="1">
        <v>60</v>
      </c>
      <c r="I17" s="1">
        <v>0</v>
      </c>
      <c r="J17" s="18">
        <f>G17+H17+I17</f>
        <v>110</v>
      </c>
      <c r="K17" s="1">
        <f>52.5+2</f>
        <v>54.5</v>
      </c>
      <c r="L17" s="18">
        <f>J17+K17</f>
        <v>164.5</v>
      </c>
      <c r="M17" s="18">
        <f t="shared" si="3"/>
        <v>3467.106292838696</v>
      </c>
      <c r="N17" s="18">
        <f t="shared" si="4"/>
        <v>3171.629146919431</v>
      </c>
      <c r="O17" s="18">
        <f t="shared" si="5"/>
        <v>6638.7354397581275</v>
      </c>
      <c r="P17" s="18">
        <f t="shared" si="6"/>
        <v>6638.74</v>
      </c>
    </row>
    <row r="18" spans="1:16" ht="38.25" customHeight="1">
      <c r="A18" s="2">
        <v>10</v>
      </c>
      <c r="B18" s="1" t="s">
        <v>22</v>
      </c>
      <c r="C18" s="1">
        <v>70</v>
      </c>
      <c r="D18" s="1">
        <v>20</v>
      </c>
      <c r="E18" s="1">
        <v>22.5</v>
      </c>
      <c r="F18" s="18">
        <f t="shared" si="0"/>
        <v>1.125</v>
      </c>
      <c r="G18" s="18">
        <f>C18</f>
        <v>70</v>
      </c>
      <c r="H18" s="1">
        <v>60</v>
      </c>
      <c r="I18" s="1">
        <v>0</v>
      </c>
      <c r="J18" s="18">
        <f t="shared" si="7"/>
        <v>130</v>
      </c>
      <c r="K18" s="1">
        <f>50.5+2</f>
        <v>52.5</v>
      </c>
      <c r="L18" s="18">
        <f>J18+K18</f>
        <v>182.5</v>
      </c>
      <c r="M18" s="18">
        <f t="shared" si="3"/>
        <v>4097.4892551730045</v>
      </c>
      <c r="N18" s="18">
        <f t="shared" si="4"/>
        <v>3055.239086482021</v>
      </c>
      <c r="O18" s="18">
        <f t="shared" si="5"/>
        <v>7152.728341655025</v>
      </c>
      <c r="P18" s="18">
        <f t="shared" si="6"/>
        <v>7152.73</v>
      </c>
    </row>
    <row r="19" spans="1:16" ht="37.5" customHeight="1">
      <c r="A19" s="2">
        <v>11</v>
      </c>
      <c r="B19" s="1" t="s">
        <v>24</v>
      </c>
      <c r="C19" s="1">
        <v>120</v>
      </c>
      <c r="D19" s="1">
        <v>30</v>
      </c>
      <c r="E19" s="1">
        <f>30+15</f>
        <v>45</v>
      </c>
      <c r="F19" s="18">
        <f>E19/D19</f>
        <v>1.5</v>
      </c>
      <c r="G19" s="18">
        <f>C19</f>
        <v>120</v>
      </c>
      <c r="H19" s="1">
        <v>40</v>
      </c>
      <c r="I19" s="1">
        <v>0</v>
      </c>
      <c r="J19" s="18">
        <f>G19+H19+I19</f>
        <v>160</v>
      </c>
      <c r="K19" s="1">
        <f>63+2+15-7.5+10</f>
        <v>82.5</v>
      </c>
      <c r="L19" s="18">
        <f>J19+K19</f>
        <v>242.5</v>
      </c>
      <c r="M19" s="18">
        <f t="shared" si="3"/>
        <v>5043.063698674467</v>
      </c>
      <c r="N19" s="18">
        <f t="shared" si="4"/>
        <v>4801.089993043175</v>
      </c>
      <c r="O19" s="18">
        <f t="shared" si="5"/>
        <v>9844.153691717642</v>
      </c>
      <c r="P19" s="18">
        <f t="shared" si="6"/>
        <v>9844.15</v>
      </c>
    </row>
    <row r="20" spans="1:16" ht="46.5" customHeight="1">
      <c r="A20" s="2">
        <v>12</v>
      </c>
      <c r="B20" s="1" t="s">
        <v>20</v>
      </c>
      <c r="C20" s="1">
        <v>60</v>
      </c>
      <c r="D20" s="1">
        <v>24</v>
      </c>
      <c r="E20" s="1">
        <v>30</v>
      </c>
      <c r="F20" s="18">
        <f aca="true" t="shared" si="8" ref="F20:F31">E20/D20</f>
        <v>1.25</v>
      </c>
      <c r="G20" s="18">
        <f>C20</f>
        <v>60</v>
      </c>
      <c r="H20" s="1">
        <v>10</v>
      </c>
      <c r="I20" s="1">
        <v>0</v>
      </c>
      <c r="J20" s="18">
        <f t="shared" si="7"/>
        <v>70</v>
      </c>
      <c r="K20" s="1">
        <f>55+2</f>
        <v>57</v>
      </c>
      <c r="L20" s="18">
        <f>J20+K20</f>
        <v>127</v>
      </c>
      <c r="M20" s="18">
        <f t="shared" si="3"/>
        <v>2206.3403681700793</v>
      </c>
      <c r="N20" s="18">
        <f t="shared" si="4"/>
        <v>3317.116722466194</v>
      </c>
      <c r="O20" s="18">
        <f t="shared" si="5"/>
        <v>5523.457090636273</v>
      </c>
      <c r="P20" s="18">
        <f t="shared" si="6"/>
        <v>5523.46</v>
      </c>
    </row>
    <row r="21" spans="1:16" ht="42.75" customHeight="1">
      <c r="A21" s="2">
        <v>13</v>
      </c>
      <c r="B21" s="1" t="s">
        <v>29</v>
      </c>
      <c r="C21" s="1">
        <f>201-2</f>
        <v>199</v>
      </c>
      <c r="D21" s="1">
        <f>82-5</f>
        <v>77</v>
      </c>
      <c r="E21" s="1">
        <v>210</v>
      </c>
      <c r="F21" s="18">
        <f t="shared" si="8"/>
        <v>2.727272727272727</v>
      </c>
      <c r="G21" s="18">
        <f>C21</f>
        <v>199</v>
      </c>
      <c r="H21" s="1">
        <v>40</v>
      </c>
      <c r="I21" s="1">
        <v>0</v>
      </c>
      <c r="J21" s="18">
        <f t="shared" si="7"/>
        <v>239</v>
      </c>
      <c r="K21" s="1">
        <f>269.29+3.75-20-1.14+1.14+2.85+1.14</f>
        <v>257.03000000000003</v>
      </c>
      <c r="L21" s="18">
        <f t="shared" si="2"/>
        <v>496.03000000000003</v>
      </c>
      <c r="M21" s="18">
        <f t="shared" si="3"/>
        <v>7533.076399894985</v>
      </c>
      <c r="N21" s="18">
        <f t="shared" si="4"/>
        <v>14957.868617113789</v>
      </c>
      <c r="O21" s="18">
        <f t="shared" si="5"/>
        <v>22490.945017008773</v>
      </c>
      <c r="P21" s="18">
        <f t="shared" si="6"/>
        <v>22490.95</v>
      </c>
    </row>
    <row r="22" spans="1:16" ht="35.25" customHeight="1">
      <c r="A22" s="2">
        <v>14</v>
      </c>
      <c r="B22" s="1" t="s">
        <v>2</v>
      </c>
      <c r="C22" s="1">
        <f>80</f>
        <v>80</v>
      </c>
      <c r="D22" s="1">
        <f>34</f>
        <v>34</v>
      </c>
      <c r="E22" s="1">
        <f>64-40.5</f>
        <v>23.5</v>
      </c>
      <c r="F22" s="18">
        <f t="shared" si="8"/>
        <v>0.6911764705882353</v>
      </c>
      <c r="G22" s="18">
        <f>F22*C22</f>
        <v>55.294117647058826</v>
      </c>
      <c r="H22" s="1">
        <f>60</f>
        <v>60</v>
      </c>
      <c r="I22" s="1">
        <f>40</f>
        <v>40</v>
      </c>
      <c r="J22" s="18">
        <f t="shared" si="7"/>
        <v>155.29411764705884</v>
      </c>
      <c r="K22" s="1">
        <f>100+2-52.5</f>
        <v>49.5</v>
      </c>
      <c r="L22" s="18">
        <f t="shared" si="2"/>
        <v>204.79411764705884</v>
      </c>
      <c r="M22" s="18">
        <f t="shared" si="3"/>
        <v>4894.7382957722775</v>
      </c>
      <c r="N22" s="18">
        <f t="shared" si="4"/>
        <v>2880.6539958259054</v>
      </c>
      <c r="O22" s="18">
        <f t="shared" si="5"/>
        <v>7775.392291598183</v>
      </c>
      <c r="P22" s="18">
        <f t="shared" si="6"/>
        <v>7775.39</v>
      </c>
    </row>
    <row r="23" spans="1:16" ht="35.25" customHeight="1">
      <c r="A23" s="2">
        <v>15</v>
      </c>
      <c r="B23" s="1" t="s">
        <v>37</v>
      </c>
      <c r="C23" s="1">
        <v>160</v>
      </c>
      <c r="D23" s="1">
        <v>57</v>
      </c>
      <c r="E23" s="1">
        <v>40</v>
      </c>
      <c r="F23" s="18">
        <f t="shared" si="8"/>
        <v>0.7017543859649122</v>
      </c>
      <c r="G23" s="18">
        <f>C23*F23</f>
        <v>112.28070175438596</v>
      </c>
      <c r="H23" s="1">
        <v>40</v>
      </c>
      <c r="I23" s="1">
        <v>0</v>
      </c>
      <c r="J23" s="18">
        <f t="shared" si="7"/>
        <v>152.28070175438597</v>
      </c>
      <c r="K23" s="1">
        <f>84.5+2</f>
        <v>86.5</v>
      </c>
      <c r="L23" s="18">
        <f t="shared" si="2"/>
        <v>238.78070175438597</v>
      </c>
      <c r="M23" s="18">
        <f t="shared" si="3"/>
        <v>4799.757993913857</v>
      </c>
      <c r="N23" s="18">
        <f t="shared" si="4"/>
        <v>5033.870113917996</v>
      </c>
      <c r="O23" s="18">
        <f t="shared" si="5"/>
        <v>9833.628107831853</v>
      </c>
      <c r="P23" s="18">
        <f t="shared" si="6"/>
        <v>9833.63</v>
      </c>
    </row>
    <row r="24" spans="1:16" ht="44.25" customHeight="1">
      <c r="A24" s="2">
        <v>16</v>
      </c>
      <c r="B24" s="1" t="s">
        <v>3</v>
      </c>
      <c r="C24" s="1">
        <v>52</v>
      </c>
      <c r="D24" s="1">
        <v>20</v>
      </c>
      <c r="E24" s="1">
        <v>20</v>
      </c>
      <c r="F24" s="18">
        <f t="shared" si="8"/>
        <v>1</v>
      </c>
      <c r="G24" s="18">
        <f>F24*C24</f>
        <v>52</v>
      </c>
      <c r="H24" s="1">
        <v>40</v>
      </c>
      <c r="I24" s="1">
        <v>0</v>
      </c>
      <c r="J24" s="18">
        <f t="shared" si="7"/>
        <v>92</v>
      </c>
      <c r="K24" s="1">
        <f>45+2</f>
        <v>47</v>
      </c>
      <c r="L24" s="18">
        <f t="shared" si="2"/>
        <v>139</v>
      </c>
      <c r="M24" s="18">
        <f t="shared" si="3"/>
        <v>2899.7616267378185</v>
      </c>
      <c r="N24" s="18">
        <f t="shared" si="4"/>
        <v>2735.166420279142</v>
      </c>
      <c r="O24" s="18">
        <f t="shared" si="5"/>
        <v>5634.928047016961</v>
      </c>
      <c r="P24" s="18">
        <f t="shared" si="6"/>
        <v>5634.93</v>
      </c>
    </row>
    <row r="25" spans="1:16" ht="37.5" customHeight="1">
      <c r="A25" s="2">
        <v>17</v>
      </c>
      <c r="B25" s="1" t="s">
        <v>21</v>
      </c>
      <c r="C25" s="1">
        <v>275</v>
      </c>
      <c r="D25" s="1">
        <v>108</v>
      </c>
      <c r="E25" s="1">
        <v>85</v>
      </c>
      <c r="F25" s="18">
        <f t="shared" si="8"/>
        <v>0.7870370370370371</v>
      </c>
      <c r="G25" s="18">
        <f>F25*C25</f>
        <v>216.4351851851852</v>
      </c>
      <c r="H25" s="1">
        <f>300-60</f>
        <v>240</v>
      </c>
      <c r="I25" s="1">
        <v>40</v>
      </c>
      <c r="J25" s="18">
        <f t="shared" si="7"/>
        <v>496.4351851851852</v>
      </c>
      <c r="K25" s="1">
        <f>153+4.06</f>
        <v>157.06</v>
      </c>
      <c r="L25" s="18">
        <f>J25+K25</f>
        <v>653.4951851851852</v>
      </c>
      <c r="M25" s="18">
        <f t="shared" si="3"/>
        <v>15647.2141322009</v>
      </c>
      <c r="N25" s="18">
        <f t="shared" si="4"/>
        <v>9140.111446149833</v>
      </c>
      <c r="O25" s="18">
        <f t="shared" si="5"/>
        <v>24787.325578350734</v>
      </c>
      <c r="P25" s="18">
        <f t="shared" si="6"/>
        <v>24787.33</v>
      </c>
    </row>
    <row r="26" spans="1:16" ht="37.5" customHeight="1">
      <c r="A26" s="2">
        <v>18</v>
      </c>
      <c r="B26" s="1" t="s">
        <v>26</v>
      </c>
      <c r="C26" s="1">
        <v>124</v>
      </c>
      <c r="D26" s="1">
        <v>43</v>
      </c>
      <c r="E26" s="1">
        <v>57.5</v>
      </c>
      <c r="F26" s="18">
        <f t="shared" si="8"/>
        <v>1.3372093023255813</v>
      </c>
      <c r="G26" s="18">
        <f>C26</f>
        <v>124</v>
      </c>
      <c r="H26" s="1">
        <f>40+20</f>
        <v>60</v>
      </c>
      <c r="I26" s="1">
        <v>0</v>
      </c>
      <c r="J26" s="18">
        <f>G26+H26+I26</f>
        <v>184</v>
      </c>
      <c r="K26" s="1">
        <f>124.5+3.75</f>
        <v>128.25</v>
      </c>
      <c r="L26" s="18">
        <f>J26+K26</f>
        <v>312.25</v>
      </c>
      <c r="M26" s="18">
        <f t="shared" si="3"/>
        <v>5799.523253475637</v>
      </c>
      <c r="N26" s="18">
        <f t="shared" si="4"/>
        <v>7463.512625548937</v>
      </c>
      <c r="O26" s="18">
        <f t="shared" si="5"/>
        <v>13263.035879024574</v>
      </c>
      <c r="P26" s="18">
        <f t="shared" si="6"/>
        <v>13263.04</v>
      </c>
    </row>
    <row r="27" spans="1:16" ht="37.5" customHeight="1">
      <c r="A27" s="2">
        <v>19</v>
      </c>
      <c r="B27" s="1" t="s">
        <v>31</v>
      </c>
      <c r="C27" s="1">
        <v>65</v>
      </c>
      <c r="D27" s="1">
        <v>25</v>
      </c>
      <c r="E27" s="1">
        <v>24</v>
      </c>
      <c r="F27" s="18">
        <f t="shared" si="8"/>
        <v>0.96</v>
      </c>
      <c r="G27" s="18">
        <f>C27*F27</f>
        <v>62.4</v>
      </c>
      <c r="H27" s="1">
        <v>40</v>
      </c>
      <c r="I27" s="1">
        <v>0</v>
      </c>
      <c r="J27" s="18">
        <f>G27+H27+I27</f>
        <v>102.4</v>
      </c>
      <c r="K27" s="1">
        <f>55+2</f>
        <v>57</v>
      </c>
      <c r="L27" s="18">
        <f>J27+K27</f>
        <v>159.4</v>
      </c>
      <c r="M27" s="18">
        <f t="shared" si="3"/>
        <v>3227.560767151659</v>
      </c>
      <c r="N27" s="18">
        <f t="shared" si="4"/>
        <v>3317.116722466194</v>
      </c>
      <c r="O27" s="18">
        <f t="shared" si="5"/>
        <v>6544.677489617853</v>
      </c>
      <c r="P27" s="18">
        <f t="shared" si="6"/>
        <v>6544.68</v>
      </c>
    </row>
    <row r="28" spans="1:16" ht="37.5" customHeight="1">
      <c r="A28" s="2">
        <v>20</v>
      </c>
      <c r="B28" s="1" t="s">
        <v>35</v>
      </c>
      <c r="C28" s="1">
        <v>140</v>
      </c>
      <c r="D28" s="1">
        <v>50</v>
      </c>
      <c r="E28" s="1">
        <v>50</v>
      </c>
      <c r="F28" s="18">
        <f t="shared" si="8"/>
        <v>1</v>
      </c>
      <c r="G28" s="18">
        <f>F28*C28</f>
        <v>140</v>
      </c>
      <c r="H28" s="1">
        <v>40</v>
      </c>
      <c r="I28" s="1">
        <v>0</v>
      </c>
      <c r="J28" s="18">
        <f>G28+H28+I28</f>
        <v>180</v>
      </c>
      <c r="K28" s="1">
        <f>90+2</f>
        <v>92</v>
      </c>
      <c r="L28" s="18">
        <f>J28+K28</f>
        <v>272</v>
      </c>
      <c r="M28" s="18">
        <f t="shared" si="3"/>
        <v>5673.446661008775</v>
      </c>
      <c r="N28" s="18">
        <f t="shared" si="4"/>
        <v>5353.942780120874</v>
      </c>
      <c r="O28" s="18">
        <f t="shared" si="5"/>
        <v>11027.38944112965</v>
      </c>
      <c r="P28" s="18">
        <f t="shared" si="6"/>
        <v>11027.39</v>
      </c>
    </row>
    <row r="29" spans="1:16" ht="32.25" customHeight="1">
      <c r="A29" s="2">
        <v>21</v>
      </c>
      <c r="B29" s="1" t="s">
        <v>36</v>
      </c>
      <c r="C29" s="1">
        <v>95</v>
      </c>
      <c r="D29" s="1">
        <v>34</v>
      </c>
      <c r="E29" s="1">
        <v>62.5</v>
      </c>
      <c r="F29" s="18">
        <f>E29/D29</f>
        <v>1.838235294117647</v>
      </c>
      <c r="G29" s="18">
        <f>C29</f>
        <v>95</v>
      </c>
      <c r="H29" s="1">
        <f>60-20</f>
        <v>40</v>
      </c>
      <c r="I29" s="1">
        <v>0</v>
      </c>
      <c r="J29" s="18">
        <f>I29+H29+G29</f>
        <v>135</v>
      </c>
      <c r="K29" s="1">
        <v>113.5</v>
      </c>
      <c r="L29" s="18">
        <f>J29+K29</f>
        <v>248.5</v>
      </c>
      <c r="M29" s="18">
        <f t="shared" si="3"/>
        <v>4255.0849957565815</v>
      </c>
      <c r="N29" s="18">
        <f t="shared" si="4"/>
        <v>6605.135929823035</v>
      </c>
      <c r="O29" s="18">
        <f t="shared" si="5"/>
        <v>10860.220925579617</v>
      </c>
      <c r="P29" s="18">
        <f t="shared" si="6"/>
        <v>10860.22</v>
      </c>
    </row>
    <row r="30" spans="1:16" ht="44.25" customHeight="1">
      <c r="A30" s="2">
        <v>22</v>
      </c>
      <c r="B30" s="1" t="s">
        <v>38</v>
      </c>
      <c r="C30" s="1">
        <f>110-10</f>
        <v>100</v>
      </c>
      <c r="D30" s="1">
        <f>46-5</f>
        <v>41</v>
      </c>
      <c r="E30" s="1">
        <v>35</v>
      </c>
      <c r="F30" s="18">
        <f>E30/D30</f>
        <v>0.8536585365853658</v>
      </c>
      <c r="G30" s="18">
        <f>C30*F30</f>
        <v>85.36585365853658</v>
      </c>
      <c r="H30" s="1">
        <v>60</v>
      </c>
      <c r="I30" s="1">
        <v>0</v>
      </c>
      <c r="J30" s="18">
        <f>G30+H30+I30</f>
        <v>145.3658536585366</v>
      </c>
      <c r="K30" s="1">
        <f>77+3.43</f>
        <v>80.43</v>
      </c>
      <c r="L30" s="18">
        <f t="shared" si="2"/>
        <v>225.7958536585366</v>
      </c>
      <c r="M30" s="18">
        <f t="shared" si="3"/>
        <v>4581.8078725761925</v>
      </c>
      <c r="N30" s="18">
        <f t="shared" si="4"/>
        <v>4680.626280490456</v>
      </c>
      <c r="O30" s="18">
        <f t="shared" si="5"/>
        <v>9262.43415306665</v>
      </c>
      <c r="P30" s="18">
        <f t="shared" si="6"/>
        <v>9262.43</v>
      </c>
    </row>
    <row r="31" spans="1:16" ht="63.75" customHeight="1">
      <c r="A31" s="2">
        <v>23</v>
      </c>
      <c r="B31" s="1" t="s">
        <v>18</v>
      </c>
      <c r="C31" s="1">
        <v>275</v>
      </c>
      <c r="D31" s="1">
        <v>105</v>
      </c>
      <c r="E31" s="1">
        <v>122</v>
      </c>
      <c r="F31" s="18">
        <f t="shared" si="8"/>
        <v>1.161904761904762</v>
      </c>
      <c r="G31" s="18">
        <f>C31</f>
        <v>275</v>
      </c>
      <c r="H31" s="1">
        <v>60</v>
      </c>
      <c r="I31" s="1">
        <v>40</v>
      </c>
      <c r="J31" s="18">
        <f>G31+H31+I31</f>
        <v>375</v>
      </c>
      <c r="K31" s="1">
        <f>183+2</f>
        <v>185</v>
      </c>
      <c r="L31" s="18">
        <f t="shared" si="2"/>
        <v>560</v>
      </c>
      <c r="M31" s="18">
        <f t="shared" si="3"/>
        <v>11819.680543768281</v>
      </c>
      <c r="N31" s="18">
        <f t="shared" si="4"/>
        <v>10766.080590460453</v>
      </c>
      <c r="O31" s="18">
        <f t="shared" si="5"/>
        <v>22585.761134228735</v>
      </c>
      <c r="P31" s="18">
        <v>22585.73</v>
      </c>
    </row>
    <row r="32" spans="1:16" ht="27.75" customHeight="1">
      <c r="A32" s="2"/>
      <c r="B32" s="1" t="s">
        <v>6</v>
      </c>
      <c r="C32" s="18">
        <f>SUM(C7:C31)</f>
        <v>3007</v>
      </c>
      <c r="D32" s="18">
        <f>SUM(D7:D31)</f>
        <v>1123</v>
      </c>
      <c r="E32" s="18">
        <f>SUM(E7:E31)</f>
        <v>1276</v>
      </c>
      <c r="F32" s="18"/>
      <c r="G32" s="18">
        <f>SUM(G7:G31)</f>
        <v>2800.3949058642147</v>
      </c>
      <c r="H32" s="1">
        <f>SUM(H7:H31)</f>
        <v>1310</v>
      </c>
      <c r="I32" s="1">
        <f>SUM(I8:I31)</f>
        <v>136</v>
      </c>
      <c r="J32" s="18">
        <f aca="true" t="shared" si="9" ref="J32:O32">SUM(J7:J31)</f>
        <v>4246.394905864215</v>
      </c>
      <c r="K32" s="18">
        <f t="shared" si="9"/>
        <v>2299.9</v>
      </c>
      <c r="L32" s="18">
        <f t="shared" si="9"/>
        <v>6546.294905864214</v>
      </c>
      <c r="M32" s="18">
        <f t="shared" si="9"/>
        <v>133842.74999999997</v>
      </c>
      <c r="N32" s="18">
        <f t="shared" si="9"/>
        <v>133842.75</v>
      </c>
      <c r="O32" s="18">
        <f t="shared" si="9"/>
        <v>267685.49999999994</v>
      </c>
      <c r="P32" s="18">
        <f>SUM(P7:P31)</f>
        <v>267685.5</v>
      </c>
    </row>
    <row r="33" spans="1:15" ht="24.75" customHeight="1">
      <c r="A33" s="4"/>
      <c r="D33" s="5"/>
      <c r="E33" s="5"/>
      <c r="F33" s="5"/>
      <c r="G33" s="26"/>
      <c r="H33" s="4"/>
      <c r="I33" s="4"/>
      <c r="J33" s="5"/>
      <c r="K33" s="5"/>
      <c r="L33" s="5"/>
      <c r="M33" s="5"/>
      <c r="N33" s="5"/>
      <c r="O33" s="5"/>
    </row>
    <row r="34" spans="1:15" ht="38.25" customHeight="1">
      <c r="A34" s="4"/>
      <c r="B34" s="23" t="s">
        <v>46</v>
      </c>
      <c r="C34" s="24">
        <v>849000</v>
      </c>
      <c r="D34" s="32"/>
      <c r="E34" s="5"/>
      <c r="F34" s="5"/>
      <c r="G34" s="5"/>
      <c r="H34" s="4"/>
      <c r="I34" s="4"/>
      <c r="J34" s="5"/>
      <c r="K34" s="5"/>
      <c r="L34" s="5"/>
      <c r="M34" s="5"/>
      <c r="N34" s="5"/>
      <c r="O34" s="5"/>
    </row>
    <row r="35" spans="1:15" ht="27" customHeight="1">
      <c r="A35" s="4"/>
      <c r="B35" s="35" t="s">
        <v>47</v>
      </c>
      <c r="C35" s="24">
        <v>552163.5</v>
      </c>
      <c r="D35" s="32"/>
      <c r="E35" s="5"/>
      <c r="F35" s="5"/>
      <c r="G35" s="5"/>
      <c r="H35" s="4"/>
      <c r="I35" s="4"/>
      <c r="J35" s="5"/>
      <c r="K35" s="5"/>
      <c r="L35" s="5"/>
      <c r="M35" s="5"/>
      <c r="N35" s="5"/>
      <c r="O35" s="5"/>
    </row>
    <row r="36" spans="1:15" ht="22.5" customHeight="1">
      <c r="A36" s="4"/>
      <c r="B36" s="35" t="s">
        <v>48</v>
      </c>
      <c r="C36" s="24">
        <f>C34-C35</f>
        <v>296836.5</v>
      </c>
      <c r="D36" s="32"/>
      <c r="E36" s="5"/>
      <c r="F36" s="5"/>
      <c r="G36" s="5"/>
      <c r="H36" s="4"/>
      <c r="I36" s="4"/>
      <c r="J36" s="5"/>
      <c r="K36" s="5"/>
      <c r="L36" s="5"/>
      <c r="M36" s="5"/>
      <c r="N36" s="5"/>
      <c r="O36" s="5"/>
    </row>
    <row r="37" spans="1:15" ht="19.5" customHeight="1">
      <c r="A37" s="4"/>
      <c r="B37" s="23"/>
      <c r="C37" s="24"/>
      <c r="D37" s="32"/>
      <c r="E37" s="5"/>
      <c r="F37" s="5"/>
      <c r="G37" s="5"/>
      <c r="H37" s="4"/>
      <c r="I37" s="4"/>
      <c r="J37" s="5"/>
      <c r="K37" s="5"/>
      <c r="L37" s="5"/>
      <c r="M37" s="5"/>
      <c r="N37" s="5"/>
      <c r="O37" s="5"/>
    </row>
    <row r="38" spans="1:15" ht="30" customHeight="1">
      <c r="A38" s="4"/>
      <c r="B38" s="23" t="s">
        <v>43</v>
      </c>
      <c r="C38" s="34" t="s">
        <v>44</v>
      </c>
      <c r="D38" s="32"/>
      <c r="E38" s="5"/>
      <c r="F38" s="5"/>
      <c r="G38" s="5"/>
      <c r="H38" s="4"/>
      <c r="I38" s="4"/>
      <c r="J38" s="5"/>
      <c r="K38" s="5"/>
      <c r="L38" s="5"/>
      <c r="M38" s="5"/>
      <c r="N38" s="5"/>
      <c r="O38" s="5"/>
    </row>
    <row r="39" spans="1:15" ht="48.75" customHeight="1">
      <c r="A39" s="4">
        <v>1</v>
      </c>
      <c r="B39" s="36" t="s">
        <v>49</v>
      </c>
      <c r="C39" s="24">
        <f>C34*10.3%</f>
        <v>87447</v>
      </c>
      <c r="D39" s="32"/>
      <c r="E39" s="5"/>
      <c r="F39" s="5"/>
      <c r="G39" s="5"/>
      <c r="H39" s="4"/>
      <c r="I39" s="4"/>
      <c r="J39" s="5"/>
      <c r="K39" s="5"/>
      <c r="L39" s="5"/>
      <c r="M39" s="5"/>
      <c r="N39" s="5"/>
      <c r="O39" s="5"/>
    </row>
    <row r="40" spans="1:15" ht="30.75" customHeight="1">
      <c r="A40" s="4"/>
      <c r="B40" s="33" t="s">
        <v>50</v>
      </c>
      <c r="C40" s="24">
        <v>58296</v>
      </c>
      <c r="D40" s="32"/>
      <c r="E40" s="5"/>
      <c r="F40" s="5"/>
      <c r="G40" s="5"/>
      <c r="H40" s="4"/>
      <c r="I40" s="4"/>
      <c r="J40" s="5"/>
      <c r="K40" s="5"/>
      <c r="L40" s="5"/>
      <c r="M40" s="5"/>
      <c r="N40" s="5"/>
      <c r="O40" s="5"/>
    </row>
    <row r="41" spans="1:15" ht="30.75" customHeight="1">
      <c r="A41" s="4"/>
      <c r="B41" s="37" t="s">
        <v>51</v>
      </c>
      <c r="C41" s="24">
        <f>C39-C40</f>
        <v>29151</v>
      </c>
      <c r="D41" s="32"/>
      <c r="E41" s="5"/>
      <c r="F41" s="5"/>
      <c r="G41" s="5"/>
      <c r="H41" s="4"/>
      <c r="I41" s="4"/>
      <c r="J41" s="5"/>
      <c r="K41" s="5"/>
      <c r="L41" s="5"/>
      <c r="M41" s="5"/>
      <c r="N41" s="5"/>
      <c r="O41" s="5"/>
    </row>
    <row r="42" spans="1:15" ht="30.75" customHeight="1">
      <c r="A42" s="4"/>
      <c r="B42" s="33"/>
      <c r="C42" s="24"/>
      <c r="D42" s="32"/>
      <c r="E42" s="5"/>
      <c r="F42" s="5"/>
      <c r="G42" s="5"/>
      <c r="H42" s="4"/>
      <c r="I42" s="4"/>
      <c r="J42" s="5"/>
      <c r="K42" s="5"/>
      <c r="L42" s="5"/>
      <c r="M42" s="5"/>
      <c r="N42" s="5"/>
      <c r="O42" s="5"/>
    </row>
    <row r="43" spans="1:15" ht="34.5" customHeight="1">
      <c r="A43" s="4">
        <v>2</v>
      </c>
      <c r="B43" s="23" t="s">
        <v>57</v>
      </c>
      <c r="C43" s="24">
        <f>C34-C39</f>
        <v>761553</v>
      </c>
      <c r="D43" s="32"/>
      <c r="E43" s="5"/>
      <c r="F43" s="5"/>
      <c r="G43" s="5"/>
      <c r="H43" s="4"/>
      <c r="I43" s="4"/>
      <c r="J43" s="5"/>
      <c r="K43" s="5"/>
      <c r="L43" s="5"/>
      <c r="M43" s="5"/>
      <c r="N43" s="5"/>
      <c r="O43" s="5"/>
    </row>
    <row r="44" spans="1:15" ht="27.75" customHeight="1">
      <c r="A44" s="4"/>
      <c r="B44" s="23" t="s">
        <v>52</v>
      </c>
      <c r="C44" s="3">
        <v>493867.5</v>
      </c>
      <c r="D44" s="32"/>
      <c r="E44" s="27"/>
      <c r="F44" s="5"/>
      <c r="G44" s="5"/>
      <c r="H44" s="4"/>
      <c r="I44" s="4"/>
      <c r="J44" s="5"/>
      <c r="K44" s="5"/>
      <c r="L44" s="5"/>
      <c r="M44" s="5"/>
      <c r="N44" s="5"/>
      <c r="O44" s="5"/>
    </row>
    <row r="45" spans="1:13" ht="26.25" customHeight="1">
      <c r="A45" s="4"/>
      <c r="B45" s="23" t="s">
        <v>53</v>
      </c>
      <c r="C45" s="3">
        <f>C43-C44</f>
        <v>267685.5</v>
      </c>
      <c r="D45" s="41"/>
      <c r="E45" s="28"/>
      <c r="F45" s="20"/>
      <c r="G45" s="10"/>
      <c r="K45" s="15"/>
      <c r="L45" s="15"/>
      <c r="M45" s="15"/>
    </row>
    <row r="46" spans="1:14" ht="22.5" customHeight="1">
      <c r="A46" s="4"/>
      <c r="B46" s="11" t="s">
        <v>30</v>
      </c>
      <c r="D46" s="3">
        <f>C45/2</f>
        <v>133842.75</v>
      </c>
      <c r="E46" s="12"/>
      <c r="F46" s="7"/>
      <c r="G46" s="10"/>
      <c r="K46" s="10"/>
      <c r="M46" s="10"/>
      <c r="N46" s="10"/>
    </row>
    <row r="47" spans="1:14" ht="24" customHeight="1">
      <c r="A47" s="4"/>
      <c r="B47" s="11" t="s">
        <v>54</v>
      </c>
      <c r="D47" s="13">
        <f>D46/J32</f>
        <v>31.519148116715417</v>
      </c>
      <c r="E47" s="12"/>
      <c r="K47" s="10"/>
      <c r="M47" s="10"/>
      <c r="N47" s="10"/>
    </row>
    <row r="48" spans="1:14" ht="21" customHeight="1">
      <c r="A48" s="4"/>
      <c r="B48" s="11" t="s">
        <v>39</v>
      </c>
      <c r="D48" s="3">
        <f>C45/2</f>
        <v>133842.75</v>
      </c>
      <c r="E48" s="14"/>
      <c r="K48" s="10"/>
      <c r="M48" s="10"/>
      <c r="N48" s="38"/>
    </row>
    <row r="49" spans="1:12" ht="18.75" customHeight="1">
      <c r="A49" s="4"/>
      <c r="B49" s="11" t="s">
        <v>55</v>
      </c>
      <c r="D49" s="13">
        <f>D48/K32</f>
        <v>58.195030218705156</v>
      </c>
      <c r="E49" s="14"/>
      <c r="F49" s="8"/>
      <c r="K49" s="9"/>
      <c r="L49" s="10"/>
    </row>
    <row r="50" spans="1:6" ht="19.5" customHeight="1">
      <c r="A50" s="11"/>
      <c r="B50" s="11"/>
      <c r="D50" s="13"/>
      <c r="E50" s="14"/>
      <c r="F50" s="8"/>
    </row>
    <row r="55" spans="2:5" ht="15.75">
      <c r="B55" s="10"/>
      <c r="C55" s="15"/>
      <c r="D55" s="15"/>
      <c r="E55" s="15"/>
    </row>
    <row r="56" spans="2:6" ht="15.75">
      <c r="B56" s="10"/>
      <c r="C56" s="10"/>
      <c r="E56" s="10"/>
      <c r="F56" s="10"/>
    </row>
    <row r="57" spans="3:6" ht="15.75">
      <c r="C57" s="10"/>
      <c r="E57" s="10"/>
      <c r="F57" s="10"/>
    </row>
    <row r="58" spans="3:6" ht="15.75">
      <c r="C58" s="10"/>
      <c r="E58" s="10"/>
      <c r="F58" s="10"/>
    </row>
    <row r="59" spans="4:5" ht="15.75">
      <c r="D59" s="9"/>
      <c r="E59" s="10"/>
    </row>
  </sheetData>
  <sheetProtection/>
  <printOptions/>
  <pageMargins left="0.1" right="0.1" top="0.2" bottom="0.19" header="0.236220472440945" footer="0.15748031496063"/>
  <pageSetup horizontalDpi="600" verticalDpi="600" orientation="landscape" paperSize="9" scale="65" r:id="rId1"/>
  <headerFooter alignWithMargins="0">
    <oddFooter>&amp;C&amp;P</oddFooter>
  </headerFooter>
  <rowBreaks count="1" manualBreakCount="1">
    <brk id="24" max="15" man="1"/>
  </rowBreaks>
  <ignoredErrors>
    <ignoredError sqref="J29 I32 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2022-03-07T09:54:00Z</cp:lastPrinted>
  <dcterms:created xsi:type="dcterms:W3CDTF">2008-04-09T11:23:43Z</dcterms:created>
  <dcterms:modified xsi:type="dcterms:W3CDTF">2022-03-07T10:17:46Z</dcterms:modified>
  <cp:category/>
  <cp:version/>
  <cp:contentType/>
  <cp:contentStatus/>
</cp:coreProperties>
</file>